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activeTab="1"/>
  </bookViews>
  <sheets>
    <sheet name="Instructivo" sheetId="4" r:id="rId1"/>
    <sheet name="Datos" sheetId="2" r:id="rId2"/>
    <sheet name="Auxiliar" sheetId="3" state="hidden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"/>
  <c r="G4" s="1"/>
  <c r="G3"/>
  <c r="G2"/>
  <c r="F5" l="1"/>
  <c r="G5" s="1"/>
  <c r="Q2" i="2"/>
  <c r="L9" l="1"/>
  <c r="L10" s="1"/>
  <c r="Q8" l="1"/>
  <c r="N9" s="1"/>
  <c r="J23" l="1"/>
  <c r="N25"/>
  <c r="N29"/>
  <c r="N33"/>
  <c r="N37"/>
  <c r="N41"/>
  <c r="N45"/>
  <c r="N26"/>
  <c r="N30"/>
  <c r="N34"/>
  <c r="N38"/>
  <c r="N42"/>
  <c r="N46"/>
  <c r="N44"/>
  <c r="N27"/>
  <c r="N31"/>
  <c r="N35"/>
  <c r="N39"/>
  <c r="N43"/>
  <c r="N23"/>
  <c r="N24"/>
  <c r="N28"/>
  <c r="N32"/>
  <c r="N36"/>
  <c r="N40"/>
  <c r="J24"/>
  <c r="J27"/>
  <c r="J36"/>
  <c r="J25"/>
  <c r="J33"/>
  <c r="J41"/>
  <c r="J42"/>
  <c r="J43"/>
  <c r="J29"/>
  <c r="J37"/>
  <c r="J45"/>
  <c r="J30"/>
  <c r="J38"/>
  <c r="J46"/>
  <c r="J31"/>
  <c r="J39"/>
  <c r="J32"/>
  <c r="J40"/>
  <c r="J26"/>
  <c r="J34"/>
  <c r="J35"/>
  <c r="J28"/>
  <c r="J44"/>
  <c r="L4"/>
  <c r="L15" s="1"/>
  <c r="M17" l="1"/>
  <c r="U6"/>
  <c r="W6" l="1"/>
  <c r="V16" l="1"/>
  <c r="V19"/>
  <c r="K28"/>
  <c r="K25"/>
  <c r="K27"/>
  <c r="K45"/>
  <c r="K30"/>
  <c r="K29"/>
  <c r="V12"/>
  <c r="K40"/>
  <c r="K31"/>
  <c r="K23"/>
  <c r="L23" s="1"/>
  <c r="V20"/>
  <c r="V26"/>
  <c r="K43"/>
  <c r="V22"/>
  <c r="V24"/>
  <c r="K37"/>
  <c r="K26"/>
  <c r="L26" s="1"/>
  <c r="V6"/>
  <c r="V18"/>
  <c r="V14"/>
  <c r="V15"/>
  <c r="V25"/>
  <c r="V27"/>
  <c r="V28"/>
  <c r="V23"/>
  <c r="V7"/>
  <c r="K44"/>
  <c r="L44" s="1"/>
  <c r="K41"/>
  <c r="K35"/>
  <c r="K32"/>
  <c r="V9"/>
  <c r="K46"/>
  <c r="L46" s="1"/>
  <c r="K42"/>
  <c r="L42" s="1"/>
  <c r="K33"/>
  <c r="L33" s="1"/>
  <c r="K24"/>
  <c r="V11"/>
  <c r="V8"/>
  <c r="K39"/>
  <c r="K36"/>
  <c r="K34"/>
  <c r="V10"/>
  <c r="V17"/>
  <c r="K38"/>
  <c r="V29"/>
  <c r="V21"/>
  <c r="V13"/>
  <c r="L34" l="1"/>
  <c r="L38"/>
  <c r="L37"/>
  <c r="L40"/>
  <c r="L35"/>
  <c r="L24"/>
  <c r="L32"/>
  <c r="L25"/>
  <c r="L36"/>
  <c r="X6"/>
  <c r="M23" s="1"/>
  <c r="U7"/>
  <c r="L43"/>
  <c r="L45"/>
  <c r="L28"/>
  <c r="L27"/>
  <c r="L29"/>
  <c r="L30"/>
  <c r="L39"/>
  <c r="L41"/>
  <c r="L31"/>
  <c r="W7" l="1"/>
  <c r="X7" s="1"/>
  <c r="M24" s="1"/>
  <c r="O24" s="1"/>
  <c r="U8"/>
  <c r="O23"/>
  <c r="U9" l="1"/>
  <c r="W8"/>
  <c r="X8" s="1"/>
  <c r="M25" s="1"/>
  <c r="O25" s="1"/>
  <c r="U10" l="1"/>
  <c r="W9"/>
  <c r="X9" s="1"/>
  <c r="M26" s="1"/>
  <c r="O26" s="1"/>
  <c r="U11" l="1"/>
  <c r="W10"/>
  <c r="X10" s="1"/>
  <c r="M27" s="1"/>
  <c r="O27" s="1"/>
  <c r="W11" l="1"/>
  <c r="X11" s="1"/>
  <c r="M28" s="1"/>
  <c r="O28" s="1"/>
  <c r="U12"/>
  <c r="U13" l="1"/>
  <c r="W12"/>
  <c r="X12" s="1"/>
  <c r="M29" s="1"/>
  <c r="O29" s="1"/>
  <c r="W13" l="1"/>
  <c r="X13" s="1"/>
  <c r="M30" s="1"/>
  <c r="O30" s="1"/>
  <c r="U14"/>
  <c r="W14" l="1"/>
  <c r="X14" s="1"/>
  <c r="M31" s="1"/>
  <c r="O31" s="1"/>
  <c r="U15"/>
  <c r="W15" l="1"/>
  <c r="X15" s="1"/>
  <c r="M32" s="1"/>
  <c r="O32" s="1"/>
  <c r="U16"/>
  <c r="U17" l="1"/>
  <c r="W16"/>
  <c r="X16" s="1"/>
  <c r="M33" s="1"/>
  <c r="O33" s="1"/>
  <c r="U18" l="1"/>
  <c r="W17"/>
  <c r="X17" s="1"/>
  <c r="M34" s="1"/>
  <c r="O34" s="1"/>
  <c r="W18" l="1"/>
  <c r="X18" s="1"/>
  <c r="M35" s="1"/>
  <c r="O35" s="1"/>
  <c r="U19"/>
  <c r="U20" l="1"/>
  <c r="W19"/>
  <c r="X19" s="1"/>
  <c r="M36" s="1"/>
  <c r="O36" s="1"/>
  <c r="U21" l="1"/>
  <c r="W20"/>
  <c r="X20" s="1"/>
  <c r="M37" s="1"/>
  <c r="O37" s="1"/>
  <c r="U22" l="1"/>
  <c r="W21"/>
  <c r="X21" s="1"/>
  <c r="M38" s="1"/>
  <c r="O38" s="1"/>
  <c r="W22" l="1"/>
  <c r="X22" s="1"/>
  <c r="M39" s="1"/>
  <c r="O39" s="1"/>
  <c r="U23"/>
  <c r="U24" l="1"/>
  <c r="W23"/>
  <c r="X23" s="1"/>
  <c r="M40" s="1"/>
  <c r="O40" s="1"/>
  <c r="W24" l="1"/>
  <c r="X24" s="1"/>
  <c r="M41" s="1"/>
  <c r="O41" s="1"/>
  <c r="U25"/>
  <c r="W25" l="1"/>
  <c r="X25" s="1"/>
  <c r="M42" s="1"/>
  <c r="O42" s="1"/>
  <c r="U26"/>
  <c r="U27" l="1"/>
  <c r="W26"/>
  <c r="X26" s="1"/>
  <c r="M43" s="1"/>
  <c r="O43" s="1"/>
  <c r="W27" l="1"/>
  <c r="X27" s="1"/>
  <c r="M44" s="1"/>
  <c r="O44" s="1"/>
  <c r="U28"/>
  <c r="U29" l="1"/>
  <c r="W29" s="1"/>
  <c r="X29" s="1"/>
  <c r="M46" s="1"/>
  <c r="O46" s="1"/>
  <c r="W28"/>
  <c r="X28" s="1"/>
  <c r="M45" s="1"/>
  <c r="O45" s="1"/>
</calcChain>
</file>

<file path=xl/sharedStrings.xml><?xml version="1.0" encoding="utf-8"?>
<sst xmlns="http://schemas.openxmlformats.org/spreadsheetml/2006/main" count="107" uniqueCount="83">
  <si>
    <t>Tipo  de solicitante</t>
  </si>
  <si>
    <t>Utilidad Neta</t>
  </si>
  <si>
    <t>Tipo de persona</t>
  </si>
  <si>
    <t>Monto ( En pesos) :</t>
  </si>
  <si>
    <t>Menor a 3%</t>
  </si>
  <si>
    <t>Tasa Activa Cartera General Nominal anual BNA Créditos Agropecuarios:</t>
  </si>
  <si>
    <t>Entre 3 % y 7 %</t>
  </si>
  <si>
    <t>Tasa de interés CFI :</t>
  </si>
  <si>
    <t>Entre 7 % y 13 %</t>
  </si>
  <si>
    <t>Ventas</t>
  </si>
  <si>
    <t>Frecuencia de amortización    :</t>
  </si>
  <si>
    <t>Mayor a 13%</t>
  </si>
  <si>
    <t>Costos</t>
  </si>
  <si>
    <t>Mes de primera amortización:</t>
  </si>
  <si>
    <t>Monotributo</t>
  </si>
  <si>
    <t>Otros Gastos</t>
  </si>
  <si>
    <t>Cuotas de amortización::</t>
  </si>
  <si>
    <t>Impuestos</t>
  </si>
  <si>
    <t>Plazo total:</t>
  </si>
  <si>
    <t>Margen de Rentabilidad</t>
  </si>
  <si>
    <t>Tipo de Persona</t>
  </si>
  <si>
    <t xml:space="preserve">      PERIODO</t>
  </si>
  <si>
    <t xml:space="preserve"> DEUDA</t>
  </si>
  <si>
    <t>Año</t>
  </si>
  <si>
    <t>Mes</t>
  </si>
  <si>
    <t>Pesos</t>
  </si>
  <si>
    <t>Amortiz.</t>
  </si>
  <si>
    <t>Intereses</t>
  </si>
  <si>
    <t xml:space="preserve"> Total</t>
  </si>
  <si>
    <t>Montos y Condiciones</t>
  </si>
  <si>
    <t>Ultima declaración jurada de Ganancias</t>
  </si>
  <si>
    <t>Ultimo balance</t>
  </si>
  <si>
    <t>Solicitud de Documentación</t>
  </si>
  <si>
    <t>Categoría inscripta y manifestación de bienes</t>
  </si>
  <si>
    <t>Monto de crédito a otorgar</t>
  </si>
  <si>
    <t>2 meses de facturación anual declarada por categoría</t>
  </si>
  <si>
    <t>Categorías de monotributo</t>
  </si>
  <si>
    <t>Jurídica</t>
  </si>
  <si>
    <t>Categoría Monotributo</t>
  </si>
  <si>
    <t>Facturación por categoría (Monot.)</t>
  </si>
  <si>
    <t>Ingresos Neto Disponible</t>
  </si>
  <si>
    <t>PERIODO</t>
  </si>
  <si>
    <t>Humana</t>
  </si>
  <si>
    <t>Humana o Jurídica</t>
  </si>
  <si>
    <t>Utilidad Neta *</t>
  </si>
  <si>
    <t>Flujos Años de Amortización de Crédito</t>
  </si>
  <si>
    <t>Ingresos Neto de Crédito</t>
  </si>
  <si>
    <t>Ingreso por Crédito</t>
  </si>
  <si>
    <t>Cuotas y Amortización del Crédito</t>
  </si>
  <si>
    <t>Resultado Brutos</t>
  </si>
  <si>
    <t>* La Utilidad Neta deberá coincidir con la reflejada en la declaración Jurada de Ganancias para personas Humanas o en el Estado de Resultados para personas jurídicas</t>
  </si>
  <si>
    <t>MONTO MAXIMO CREDITO</t>
  </si>
  <si>
    <t>MONTO A SOLICITAR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</si>
  <si>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</si>
  <si>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</si>
  <si>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</si>
  <si>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</si>
  <si>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</si>
  <si>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</si>
  <si>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</si>
  <si>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</si>
  <si>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</si>
  <si>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</si>
  <si>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</si>
  <si>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 mes de ventas máximo $ 1.800.000</t>
  </si>
  <si>
    <t>1 mes de ventas máximo $ 1.300.000</t>
  </si>
  <si>
    <t>2 meses de ventas máximo $ 1.800.000</t>
  </si>
  <si>
    <t>3 meses de ventas máximo $ 1.800.000</t>
  </si>
  <si>
    <t>Margen de rentabilidad</t>
  </si>
  <si>
    <t>Maximo</t>
  </si>
  <si>
    <t>para vta de</t>
  </si>
  <si>
    <t>1 mes de ventas máximo $ 2.500.000</t>
  </si>
  <si>
    <t>2 meses de ventas máximo $ 2.500.000</t>
  </si>
  <si>
    <t>3 meses de ventas máximo $ 2.500.000</t>
  </si>
  <si>
    <t>Como cargar los datos</t>
  </si>
  <si>
    <t>1) Seleccionar el "Tipo de Persona" dentro de las opciones</t>
  </si>
  <si>
    <t xml:space="preserve">3) En la celda "Monto a Solicitar" se debera cargar el importe solicitado, el cual debera ser menor o igual al monto informado en "Monto Maximo Credito" </t>
  </si>
  <si>
    <t>4) Completar el campo "Tasa de Interes CFI" según la tasa correspondiente</t>
  </si>
  <si>
    <t xml:space="preserve">5) Completar los campos "Mes primera amortizacion" y "Cuotas de Amortizacion". </t>
  </si>
  <si>
    <t>El plazo total no debe superar los 24 meses</t>
  </si>
  <si>
    <t>Guía para el cálculo del monto máximo a solicitar</t>
  </si>
  <si>
    <t>El monto máximo que es posible determinar depende de las ventas y del margen de utilidad en las personas Juridas y Personas Humanas que no sean monotributistas. En el caso de los monotributistas depende de la categoría en la cual estan inscriptos.</t>
  </si>
  <si>
    <t>2) En el caso de Persojas Juridicas y Personas Humanas (no monotributistas) se debera cargar los campos "Ventas", "Costos",  "Otros Gastos" e "Impuestos"
En el caso de los monotributistas se deberá completar el campo "Categoria Monotributo"</t>
  </si>
</sst>
</file>

<file path=xl/styles.xml><?xml version="1.0" encoding="utf-8"?>
<styleSheet xmlns="http://schemas.openxmlformats.org/spreadsheetml/2006/main">
  <numFmts count="4">
    <numFmt numFmtId="164" formatCode="&quot;$&quot;#,##0;[Red]&quot;$&quot;\-#,##0"/>
    <numFmt numFmtId="165" formatCode="_ &quot;$&quot;* #,##0.00_ ;_ &quot;$&quot;* \-#,##0.00_ ;_ &quot;$&quot;* &quot;-&quot;??_ ;_ @_ "/>
    <numFmt numFmtId="166" formatCode="&quot;$&quot;#,##0"/>
    <numFmt numFmtId="167" formatCode="_ &quot;$&quot;* #,##0_ ;_ &quot;$&quot;* \-#,##0_ ;_ &quot;$&quot;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2" xfId="0" applyBorder="1" applyProtection="1"/>
    <xf numFmtId="0" fontId="0" fillId="0" borderId="11" xfId="0" applyBorder="1" applyProtection="1"/>
    <xf numFmtId="0" fontId="0" fillId="0" borderId="1" xfId="0" applyBorder="1" applyAlignment="1" applyProtection="1">
      <alignment wrapText="1"/>
    </xf>
    <xf numFmtId="0" fontId="0" fillId="0" borderId="8" xfId="0" applyBorder="1" applyProtection="1"/>
    <xf numFmtId="0" fontId="0" fillId="0" borderId="12" xfId="0" applyBorder="1" applyProtection="1"/>
    <xf numFmtId="0" fontId="0" fillId="0" borderId="13" xfId="0" applyBorder="1" applyProtection="1"/>
    <xf numFmtId="166" fontId="0" fillId="0" borderId="10" xfId="0" applyNumberFormat="1" applyBorder="1" applyProtection="1"/>
    <xf numFmtId="166" fontId="0" fillId="0" borderId="15" xfId="0" applyNumberFormat="1" applyBorder="1" applyProtection="1"/>
    <xf numFmtId="166" fontId="3" fillId="0" borderId="2" xfId="0" applyNumberFormat="1" applyFont="1" applyFill="1" applyBorder="1" applyProtection="1"/>
    <xf numFmtId="9" fontId="3" fillId="0" borderId="2" xfId="1" applyFont="1" applyFill="1" applyBorder="1" applyProtection="1"/>
    <xf numFmtId="166" fontId="3" fillId="0" borderId="2" xfId="0" applyNumberFormat="1" applyFont="1" applyFill="1" applyBorder="1" applyAlignment="1" applyProtection="1">
      <alignment horizontal="center"/>
    </xf>
    <xf numFmtId="0" fontId="6" fillId="0" borderId="1" xfId="0" applyFont="1" applyBorder="1" applyProtection="1"/>
    <xf numFmtId="166" fontId="6" fillId="0" borderId="2" xfId="0" applyNumberFormat="1" applyFont="1" applyBorder="1" applyAlignment="1" applyProtection="1">
      <alignment horizontal="center"/>
    </xf>
    <xf numFmtId="0" fontId="7" fillId="0" borderId="3" xfId="0" applyFont="1" applyBorder="1" applyProtection="1"/>
    <xf numFmtId="0" fontId="7" fillId="0" borderId="4" xfId="0" applyFont="1" applyBorder="1" applyProtection="1"/>
    <xf numFmtId="0" fontId="5" fillId="0" borderId="2" xfId="0" applyFont="1" applyBorder="1" applyAlignment="1" applyProtection="1">
      <alignment horizontal="left"/>
    </xf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37" fontId="8" fillId="0" borderId="16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0" fontId="4" fillId="0" borderId="4" xfId="0" applyFont="1" applyBorder="1" applyProtection="1"/>
    <xf numFmtId="0" fontId="4" fillId="0" borderId="1" xfId="0" quotePrefix="1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37" fontId="4" fillId="0" borderId="2" xfId="0" applyNumberFormat="1" applyFont="1" applyFill="1" applyBorder="1" applyProtection="1"/>
    <xf numFmtId="0" fontId="5" fillId="0" borderId="1" xfId="0" applyFont="1" applyBorder="1" applyAlignment="1" applyProtection="1">
      <alignment horizontal="left"/>
    </xf>
    <xf numFmtId="0" fontId="5" fillId="0" borderId="8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37" fontId="8" fillId="0" borderId="17" xfId="0" applyNumberFormat="1" applyFont="1" applyBorder="1" applyProtection="1"/>
    <xf numFmtId="37" fontId="8" fillId="0" borderId="2" xfId="0" applyNumberFormat="1" applyFont="1" applyBorder="1" applyProtection="1"/>
    <xf numFmtId="164" fontId="8" fillId="0" borderId="2" xfId="0" applyNumberFormat="1" applyFont="1" applyBorder="1" applyProtection="1"/>
    <xf numFmtId="0" fontId="4" fillId="0" borderId="0" xfId="0" applyFont="1" applyProtection="1"/>
    <xf numFmtId="37" fontId="10" fillId="0" borderId="0" xfId="0" applyNumberFormat="1" applyFont="1" applyFill="1" applyBorder="1" applyProtection="1"/>
    <xf numFmtId="0" fontId="0" fillId="0" borderId="0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12" fillId="0" borderId="1" xfId="0" applyFont="1" applyBorder="1" applyProtection="1"/>
    <xf numFmtId="0" fontId="11" fillId="0" borderId="0" xfId="0" applyFont="1" applyProtection="1"/>
    <xf numFmtId="166" fontId="13" fillId="2" borderId="2" xfId="0" applyNumberFormat="1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10" fontId="14" fillId="2" borderId="2" xfId="0" applyNumberFormat="1" applyFont="1" applyFill="1" applyBorder="1" applyProtection="1">
      <protection locked="0"/>
    </xf>
    <xf numFmtId="0" fontId="14" fillId="2" borderId="2" xfId="0" applyFont="1" applyFill="1" applyBorder="1" applyProtection="1">
      <protection locked="0"/>
    </xf>
    <xf numFmtId="0" fontId="3" fillId="0" borderId="0" xfId="0" applyFont="1" applyBorder="1" applyAlignment="1" applyProtection="1">
      <alignment wrapText="1"/>
    </xf>
    <xf numFmtId="0" fontId="9" fillId="0" borderId="0" xfId="0" applyFont="1" applyFill="1" applyProtection="1"/>
    <xf numFmtId="166" fontId="6" fillId="2" borderId="2" xfId="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Border="1" applyProtection="1"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167" fontId="0" fillId="0" borderId="2" xfId="2" applyNumberFormat="1" applyFont="1" applyBorder="1" applyAlignment="1" applyProtection="1">
      <alignment horizontal="center"/>
      <protection hidden="1"/>
    </xf>
    <xf numFmtId="2" fontId="0" fillId="0" borderId="2" xfId="2" applyNumberFormat="1" applyFont="1" applyBorder="1" applyProtection="1">
      <protection hidden="1"/>
    </xf>
    <xf numFmtId="167" fontId="0" fillId="3" borderId="2" xfId="2" applyNumberFormat="1" applyFont="1" applyFill="1" applyBorder="1" applyAlignment="1" applyProtection="1">
      <alignment horizontal="center"/>
      <protection hidden="1"/>
    </xf>
    <xf numFmtId="167" fontId="0" fillId="0" borderId="0" xfId="2" applyNumberFormat="1" applyFont="1" applyProtection="1"/>
    <xf numFmtId="0" fontId="15" fillId="0" borderId="0" xfId="0" applyFont="1" applyProtection="1"/>
    <xf numFmtId="0" fontId="16" fillId="0" borderId="1" xfId="0" quotePrefix="1" applyFont="1" applyBorder="1" applyAlignment="1" applyProtection="1">
      <alignment horizontal="left"/>
    </xf>
    <xf numFmtId="10" fontId="4" fillId="0" borderId="2" xfId="0" applyNumberFormat="1" applyFont="1" applyFill="1" applyBorder="1" applyProtection="1">
      <protection locked="0"/>
    </xf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" fillId="0" borderId="5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2" fontId="0" fillId="0" borderId="2" xfId="0" applyNumberFormat="1" applyBorder="1" applyAlignment="1" applyProtection="1">
      <alignment horizontal="left" wrapText="1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</cellXfs>
  <cellStyles count="3">
    <cellStyle name="Moneda" xfId="2" builtinId="4"/>
    <cellStyle name="Normal" xfId="0" builtinId="0"/>
    <cellStyle name="Porcentual" xfId="1" builtinId="5"/>
  </cellStyles>
  <dxfs count="2"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39</xdr:row>
      <xdr:rowOff>152400</xdr:rowOff>
    </xdr:from>
    <xdr:to>
      <xdr:col>7</xdr:col>
      <xdr:colOff>76200</xdr:colOff>
      <xdr:row>40</xdr:row>
      <xdr:rowOff>142875</xdr:rowOff>
    </xdr:to>
    <xdr:sp macro="" textlink="">
      <xdr:nvSpPr>
        <xdr:cNvPr id="2" name="Text Box 10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819775" y="6477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0</xdr:colOff>
      <xdr:row>22</xdr:row>
      <xdr:rowOff>152400</xdr:rowOff>
    </xdr:from>
    <xdr:ext cx="76200" cy="180975"/>
    <xdr:sp macro="" textlink="">
      <xdr:nvSpPr>
        <xdr:cNvPr id="4" name="Text Box 1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819775" y="6477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152400</xdr:rowOff>
    </xdr:from>
    <xdr:ext cx="76200" cy="180975"/>
    <xdr:sp macro="" textlink="">
      <xdr:nvSpPr>
        <xdr:cNvPr id="5" name="Text Box 10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01575" y="436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workbookViewId="0">
      <selection activeCell="B14" sqref="B14:I15"/>
    </sheetView>
  </sheetViews>
  <sheetFormatPr baseColWidth="10" defaultColWidth="0" defaultRowHeight="15"/>
  <cols>
    <col min="1" max="1" width="1.7109375" customWidth="1"/>
    <col min="2" max="9" width="11.42578125" customWidth="1"/>
    <col min="10" max="16384" width="11.42578125" hidden="1"/>
  </cols>
  <sheetData>
    <row r="2" spans="2:9">
      <c r="B2" s="64" t="s">
        <v>80</v>
      </c>
    </row>
    <row r="4" spans="2:9" ht="15" customHeight="1">
      <c r="B4" s="70" t="s">
        <v>81</v>
      </c>
      <c r="C4" s="70"/>
      <c r="D4" s="70"/>
      <c r="E4" s="70"/>
      <c r="F4" s="70"/>
      <c r="G4" s="70"/>
      <c r="H4" s="70"/>
      <c r="I4" s="70"/>
    </row>
    <row r="5" spans="2:9">
      <c r="B5" s="70"/>
      <c r="C5" s="70"/>
      <c r="D5" s="70"/>
      <c r="E5" s="70"/>
      <c r="F5" s="70"/>
      <c r="G5" s="70"/>
      <c r="H5" s="70"/>
      <c r="I5" s="70"/>
    </row>
    <row r="6" spans="2:9">
      <c r="B6" s="70"/>
      <c r="C6" s="70"/>
      <c r="D6" s="70"/>
      <c r="E6" s="70"/>
      <c r="F6" s="70"/>
      <c r="G6" s="70"/>
      <c r="H6" s="70"/>
      <c r="I6" s="70"/>
    </row>
    <row r="7" spans="2:9">
      <c r="B7" s="70"/>
      <c r="C7" s="70"/>
      <c r="D7" s="70"/>
      <c r="E7" s="70"/>
      <c r="F7" s="70"/>
      <c r="G7" s="70"/>
      <c r="H7" s="70"/>
      <c r="I7" s="70"/>
    </row>
    <row r="8" spans="2:9">
      <c r="B8" s="65"/>
      <c r="C8" s="65"/>
      <c r="D8" s="65"/>
      <c r="E8" s="65"/>
      <c r="F8" s="65"/>
      <c r="G8" s="65"/>
      <c r="H8" s="65"/>
      <c r="I8" s="65"/>
    </row>
    <row r="9" spans="2:9">
      <c r="B9" s="67" t="s">
        <v>74</v>
      </c>
      <c r="C9" s="65"/>
      <c r="D9" s="65"/>
      <c r="E9" s="65"/>
      <c r="F9" s="65"/>
      <c r="G9" s="65"/>
      <c r="H9" s="65"/>
      <c r="I9" s="65"/>
    </row>
    <row r="10" spans="2:9">
      <c r="B10" t="s">
        <v>75</v>
      </c>
    </row>
    <row r="11" spans="2:9">
      <c r="B11" s="70" t="s">
        <v>82</v>
      </c>
      <c r="C11" s="70"/>
      <c r="D11" s="70"/>
      <c r="E11" s="70"/>
      <c r="F11" s="70"/>
      <c r="G11" s="70"/>
      <c r="H11" s="70"/>
      <c r="I11" s="70"/>
    </row>
    <row r="12" spans="2:9">
      <c r="B12" s="70"/>
      <c r="C12" s="70"/>
      <c r="D12" s="70"/>
      <c r="E12" s="70"/>
      <c r="F12" s="70"/>
      <c r="G12" s="70"/>
      <c r="H12" s="70"/>
      <c r="I12" s="70"/>
    </row>
    <row r="13" spans="2:9">
      <c r="B13" s="70"/>
      <c r="C13" s="70"/>
      <c r="D13" s="70"/>
      <c r="E13" s="70"/>
      <c r="F13" s="70"/>
      <c r="G13" s="70"/>
      <c r="H13" s="70"/>
      <c r="I13" s="70"/>
    </row>
    <row r="14" spans="2:9" ht="15" customHeight="1">
      <c r="B14" s="70" t="s">
        <v>76</v>
      </c>
      <c r="C14" s="70"/>
      <c r="D14" s="70"/>
      <c r="E14" s="70"/>
      <c r="F14" s="70"/>
      <c r="G14" s="70"/>
      <c r="H14" s="70"/>
      <c r="I14" s="70"/>
    </row>
    <row r="15" spans="2:9">
      <c r="B15" s="70"/>
      <c r="C15" s="70"/>
      <c r="D15" s="70"/>
      <c r="E15" s="70"/>
      <c r="F15" s="70"/>
      <c r="G15" s="70"/>
      <c r="H15" s="70"/>
      <c r="I15" s="70"/>
    </row>
    <row r="16" spans="2:9">
      <c r="B16" s="66" t="s">
        <v>77</v>
      </c>
      <c r="C16" s="65"/>
      <c r="D16" s="65"/>
      <c r="E16" s="65"/>
      <c r="F16" s="65"/>
      <c r="G16" s="65"/>
      <c r="H16" s="65"/>
      <c r="I16" s="65"/>
    </row>
    <row r="17" spans="2:2">
      <c r="B17" s="68" t="s">
        <v>78</v>
      </c>
    </row>
    <row r="18" spans="2:2">
      <c r="B18" s="69" t="s">
        <v>79</v>
      </c>
    </row>
  </sheetData>
  <mergeCells count="3">
    <mergeCell ref="B4:I7"/>
    <mergeCell ref="B11:I13"/>
    <mergeCell ref="B14:I1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showGridLines="0" tabSelected="1" workbookViewId="0">
      <selection activeCell="L3" sqref="L3"/>
    </sheetView>
  </sheetViews>
  <sheetFormatPr baseColWidth="10" defaultColWidth="11.42578125" defaultRowHeight="15"/>
  <cols>
    <col min="1" max="1" width="18.42578125" style="2" customWidth="1"/>
    <col min="2" max="2" width="15.28515625" style="2" customWidth="1"/>
    <col min="3" max="3" width="5.140625" style="2" customWidth="1"/>
    <col min="4" max="4" width="20.7109375" style="2" customWidth="1"/>
    <col min="5" max="5" width="21.42578125" style="2" customWidth="1"/>
    <col min="6" max="6" width="4.85546875" style="2" customWidth="1"/>
    <col min="7" max="7" width="4.28515625" style="2" customWidth="1"/>
    <col min="8" max="8" width="4.140625" style="2" customWidth="1"/>
    <col min="9" max="9" width="3.85546875" style="2" customWidth="1"/>
    <col min="10" max="10" width="9.7109375" style="2" customWidth="1"/>
    <col min="11" max="11" width="10.5703125" style="2" customWidth="1"/>
    <col min="12" max="12" width="12.7109375" style="2" customWidth="1"/>
    <col min="13" max="13" width="11.5703125" style="2" customWidth="1"/>
    <col min="14" max="14" width="10.28515625" style="2" customWidth="1"/>
    <col min="15" max="15" width="11.5703125" style="2" customWidth="1"/>
    <col min="16" max="16" width="7.28515625" style="2" customWidth="1"/>
    <col min="17" max="17" width="8.140625" style="2" customWidth="1"/>
    <col min="18" max="18" width="6.85546875" style="2" customWidth="1"/>
    <col min="19" max="19" width="7.28515625" style="2" customWidth="1"/>
    <col min="20" max="20" width="8.7109375" style="2" customWidth="1"/>
    <col min="21" max="21" width="16.7109375" style="2" customWidth="1"/>
    <col min="22" max="22" width="14.85546875" style="2" customWidth="1"/>
    <col min="23" max="23" width="16" style="2" customWidth="1"/>
    <col min="24" max="24" width="14.42578125" style="2" customWidth="1"/>
    <col min="25" max="16384" width="11.42578125" style="2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83" t="s">
        <v>32</v>
      </c>
      <c r="B2" s="97"/>
      <c r="C2" s="97"/>
      <c r="D2" s="97"/>
      <c r="E2" s="84"/>
      <c r="F2" s="43"/>
      <c r="G2" s="1"/>
      <c r="H2" s="98" t="s">
        <v>2</v>
      </c>
      <c r="I2" s="99"/>
      <c r="J2" s="99"/>
      <c r="K2" s="100"/>
      <c r="L2" s="48" t="s">
        <v>14</v>
      </c>
      <c r="M2" s="1"/>
      <c r="N2" s="25" t="s">
        <v>3</v>
      </c>
      <c r="O2" s="26"/>
      <c r="P2" s="27"/>
      <c r="Q2" s="30">
        <f>+L17</f>
        <v>52000</v>
      </c>
      <c r="R2" s="1"/>
      <c r="S2" s="72" t="s">
        <v>48</v>
      </c>
      <c r="T2" s="73"/>
      <c r="U2" s="73"/>
      <c r="V2" s="73"/>
      <c r="W2" s="73"/>
      <c r="X2" s="74"/>
      <c r="Y2" s="1"/>
    </row>
    <row r="3" spans="1:25">
      <c r="A3" s="3" t="s">
        <v>42</v>
      </c>
      <c r="B3" s="95" t="s">
        <v>30</v>
      </c>
      <c r="C3" s="95"/>
      <c r="D3" s="95"/>
      <c r="E3" s="96"/>
      <c r="F3" s="44"/>
      <c r="G3" s="1"/>
      <c r="H3" s="87" t="s">
        <v>38</v>
      </c>
      <c r="I3" s="88"/>
      <c r="J3" s="88"/>
      <c r="K3" s="89"/>
      <c r="L3" s="49" t="s">
        <v>56</v>
      </c>
      <c r="M3" s="1"/>
      <c r="N3" s="62" t="s">
        <v>5</v>
      </c>
      <c r="O3" s="26"/>
      <c r="P3" s="27"/>
      <c r="Q3" s="63"/>
      <c r="R3" s="1"/>
      <c r="S3" s="1"/>
      <c r="T3" s="1"/>
      <c r="U3" s="1"/>
      <c r="V3" s="1"/>
      <c r="W3" s="1"/>
      <c r="X3" s="1"/>
      <c r="Y3" s="1"/>
    </row>
    <row r="4" spans="1:25">
      <c r="A4" s="4" t="s">
        <v>37</v>
      </c>
      <c r="B4" s="101" t="s">
        <v>31</v>
      </c>
      <c r="C4" s="101"/>
      <c r="D4" s="101"/>
      <c r="E4" s="102"/>
      <c r="F4" s="44"/>
      <c r="G4" s="1"/>
      <c r="H4" s="87" t="s">
        <v>39</v>
      </c>
      <c r="I4" s="88"/>
      <c r="J4" s="88"/>
      <c r="K4" s="89"/>
      <c r="L4" s="13">
        <f>+IF(L2="monotributo",VLOOKUP(L3,C20:D30,2,0),"No Corresponde")</f>
        <v>626217</v>
      </c>
      <c r="M4" s="1"/>
      <c r="N4" s="28" t="s">
        <v>7</v>
      </c>
      <c r="O4" s="26"/>
      <c r="P4" s="27"/>
      <c r="Q4" s="50">
        <v>8.8400000000000006E-2</v>
      </c>
      <c r="R4" s="1"/>
      <c r="S4" s="31" t="s">
        <v>21</v>
      </c>
      <c r="T4" s="19"/>
      <c r="U4" s="20" t="s">
        <v>22</v>
      </c>
      <c r="V4" s="32"/>
      <c r="W4" s="32"/>
      <c r="X4" s="32"/>
      <c r="Y4" s="1"/>
    </row>
    <row r="5" spans="1:25">
      <c r="A5" s="3" t="s">
        <v>14</v>
      </c>
      <c r="B5" s="95" t="s">
        <v>33</v>
      </c>
      <c r="C5" s="95"/>
      <c r="D5" s="95"/>
      <c r="E5" s="96"/>
      <c r="F5" s="44"/>
      <c r="G5" s="1"/>
      <c r="H5" s="87" t="s">
        <v>9</v>
      </c>
      <c r="I5" s="88"/>
      <c r="J5" s="88"/>
      <c r="K5" s="89"/>
      <c r="L5" s="47"/>
      <c r="M5" s="1"/>
      <c r="N5" s="25" t="s">
        <v>10</v>
      </c>
      <c r="O5" s="26"/>
      <c r="P5" s="27"/>
      <c r="Q5" s="29">
        <v>1</v>
      </c>
      <c r="R5" s="1"/>
      <c r="S5" s="33" t="s">
        <v>23</v>
      </c>
      <c r="T5" s="34" t="s">
        <v>24</v>
      </c>
      <c r="U5" s="20" t="s">
        <v>25</v>
      </c>
      <c r="V5" s="35" t="s">
        <v>26</v>
      </c>
      <c r="W5" s="35" t="s">
        <v>27</v>
      </c>
      <c r="X5" s="35" t="s">
        <v>28</v>
      </c>
      <c r="Y5" s="1"/>
    </row>
    <row r="6" spans="1:25">
      <c r="A6" s="1"/>
      <c r="B6" s="1"/>
      <c r="C6" s="1"/>
      <c r="D6" s="1"/>
      <c r="E6" s="1"/>
      <c r="F6" s="1"/>
      <c r="G6" s="1"/>
      <c r="H6" s="87" t="s">
        <v>12</v>
      </c>
      <c r="I6" s="88"/>
      <c r="J6" s="88"/>
      <c r="K6" s="89"/>
      <c r="L6" s="47"/>
      <c r="M6" s="1"/>
      <c r="N6" s="25" t="s">
        <v>13</v>
      </c>
      <c r="O6" s="26"/>
      <c r="P6" s="27"/>
      <c r="Q6" s="51">
        <v>12</v>
      </c>
      <c r="R6" s="1"/>
      <c r="S6" s="36">
        <v>1</v>
      </c>
      <c r="T6" s="37">
        <v>1</v>
      </c>
      <c r="U6" s="38">
        <f>+Q2</f>
        <v>52000</v>
      </c>
      <c r="V6" s="38">
        <f>+IF(AND(T6&gt;=$Q$6,T6&lt;=$Q$8),$Q$2/$Q$7,0)</f>
        <v>0</v>
      </c>
      <c r="W6" s="38">
        <f>IF($Q$5=1,U6*$Q$4/12,0)</f>
        <v>383.06666666666666</v>
      </c>
      <c r="X6" s="38">
        <f>V6+W6</f>
        <v>383.06666666666666</v>
      </c>
      <c r="Y6" s="1"/>
    </row>
    <row r="7" spans="1:25">
      <c r="A7" s="1"/>
      <c r="B7" s="1"/>
      <c r="C7" s="1"/>
      <c r="D7" s="1"/>
      <c r="E7" s="1"/>
      <c r="F7" s="1"/>
      <c r="G7" s="1"/>
      <c r="H7" s="87" t="s">
        <v>15</v>
      </c>
      <c r="I7" s="88"/>
      <c r="J7" s="88"/>
      <c r="K7" s="89"/>
      <c r="L7" s="47"/>
      <c r="M7" s="1"/>
      <c r="N7" s="25" t="s">
        <v>16</v>
      </c>
      <c r="O7" s="26"/>
      <c r="P7" s="27"/>
      <c r="Q7" s="51">
        <v>13</v>
      </c>
      <c r="R7" s="1"/>
      <c r="S7" s="36">
        <v>1</v>
      </c>
      <c r="T7" s="37">
        <v>2</v>
      </c>
      <c r="U7" s="38">
        <f>U6-V6</f>
        <v>52000</v>
      </c>
      <c r="V7" s="38">
        <f t="shared" ref="V7" si="0">+IF(AND(T7&gt;=$Q$6,T7&lt;=$Q$8),$Q$2/$Q$7,0)</f>
        <v>0</v>
      </c>
      <c r="W7" s="38">
        <f t="shared" ref="W7:W29" si="1">IF($Q$5=1,U7*$Q$4/12,0)</f>
        <v>383.06666666666666</v>
      </c>
      <c r="X7" s="38">
        <f t="shared" ref="X7:X29" si="2">V7+W7</f>
        <v>383.06666666666666</v>
      </c>
      <c r="Y7" s="1"/>
    </row>
    <row r="8" spans="1:25">
      <c r="A8" s="83" t="s">
        <v>29</v>
      </c>
      <c r="B8" s="97"/>
      <c r="C8" s="97"/>
      <c r="D8" s="97"/>
      <c r="E8" s="84"/>
      <c r="F8" s="43"/>
      <c r="G8" s="1"/>
      <c r="H8" s="87" t="s">
        <v>17</v>
      </c>
      <c r="I8" s="88"/>
      <c r="J8" s="88"/>
      <c r="K8" s="89"/>
      <c r="L8" s="47"/>
      <c r="M8" s="1"/>
      <c r="N8" s="25" t="s">
        <v>18</v>
      </c>
      <c r="O8" s="26"/>
      <c r="P8" s="27"/>
      <c r="Q8" s="3">
        <f>+Q7+Q6-1</f>
        <v>24</v>
      </c>
      <c r="R8" s="1"/>
      <c r="S8" s="36">
        <v>1</v>
      </c>
      <c r="T8" s="37">
        <v>3</v>
      </c>
      <c r="U8" s="38">
        <f t="shared" ref="U8:U20" si="3">U7-V7</f>
        <v>52000</v>
      </c>
      <c r="V8" s="38">
        <f>+IF(AND(T8&gt;=$Q$6,T8&lt;=$Q$8),$Q$2/$Q$7,0)</f>
        <v>0</v>
      </c>
      <c r="W8" s="38">
        <f t="shared" si="1"/>
        <v>383.06666666666666</v>
      </c>
      <c r="X8" s="38">
        <f t="shared" si="2"/>
        <v>383.06666666666666</v>
      </c>
      <c r="Y8" s="1"/>
    </row>
    <row r="9" spans="1:25">
      <c r="A9" s="5" t="s">
        <v>0</v>
      </c>
      <c r="B9" s="3" t="s">
        <v>1</v>
      </c>
      <c r="C9" s="85" t="s">
        <v>34</v>
      </c>
      <c r="D9" s="85"/>
      <c r="E9" s="86"/>
      <c r="F9" s="41"/>
      <c r="G9" s="1"/>
      <c r="H9" s="87" t="s">
        <v>44</v>
      </c>
      <c r="I9" s="88"/>
      <c r="J9" s="88"/>
      <c r="K9" s="89"/>
      <c r="L9" s="11">
        <f>+L5-L6-L7-L8</f>
        <v>0</v>
      </c>
      <c r="M9" s="1"/>
      <c r="N9" s="61" t="str">
        <f>IF(Q8&gt;24,"El Plazo Total Maximo es de 24 meses","")</f>
        <v/>
      </c>
      <c r="O9" s="1"/>
      <c r="P9" s="1"/>
      <c r="Q9" s="1"/>
      <c r="R9" s="1"/>
      <c r="S9" s="36">
        <v>1</v>
      </c>
      <c r="T9" s="37">
        <v>4</v>
      </c>
      <c r="U9" s="38">
        <f t="shared" si="3"/>
        <v>52000</v>
      </c>
      <c r="V9" s="38">
        <f t="shared" ref="V9:V28" si="4">+IF(AND(T9&gt;=$Q$6,T9&lt;=$Q$8),$Q$2/$Q$7,0)</f>
        <v>0</v>
      </c>
      <c r="W9" s="38">
        <f t="shared" si="1"/>
        <v>383.06666666666666</v>
      </c>
      <c r="X9" s="38">
        <f t="shared" si="2"/>
        <v>383.06666666666666</v>
      </c>
      <c r="Y9" s="1"/>
    </row>
    <row r="10" spans="1:25">
      <c r="A10" s="6" t="s">
        <v>43</v>
      </c>
      <c r="B10" s="6" t="s">
        <v>4</v>
      </c>
      <c r="C10" s="90" t="s">
        <v>64</v>
      </c>
      <c r="D10" s="90"/>
      <c r="E10" s="91"/>
      <c r="F10" s="41"/>
      <c r="G10" s="1"/>
      <c r="H10" s="92" t="s">
        <v>19</v>
      </c>
      <c r="I10" s="93"/>
      <c r="J10" s="93"/>
      <c r="K10" s="94"/>
      <c r="L10" s="12" t="str">
        <f>IF(L9&gt;0,L9/L5,"Error")</f>
        <v>Error</v>
      </c>
      <c r="M10" s="1"/>
      <c r="N10" s="1"/>
      <c r="O10" s="1"/>
      <c r="P10" s="1"/>
      <c r="Q10" s="1"/>
      <c r="R10" s="1"/>
      <c r="S10" s="36">
        <v>1</v>
      </c>
      <c r="T10" s="37">
        <v>5</v>
      </c>
      <c r="U10" s="38">
        <f t="shared" si="3"/>
        <v>52000</v>
      </c>
      <c r="V10" s="38">
        <f t="shared" si="4"/>
        <v>0</v>
      </c>
      <c r="W10" s="38">
        <f t="shared" si="1"/>
        <v>383.06666666666666</v>
      </c>
      <c r="X10" s="38">
        <f t="shared" si="2"/>
        <v>383.06666666666666</v>
      </c>
      <c r="Y10" s="1"/>
    </row>
    <row r="11" spans="1:25" ht="15" customHeight="1">
      <c r="A11" s="4" t="s">
        <v>43</v>
      </c>
      <c r="B11" s="4" t="s">
        <v>6</v>
      </c>
      <c r="C11" s="77" t="s">
        <v>71</v>
      </c>
      <c r="D11" s="77"/>
      <c r="E11" s="78"/>
      <c r="F11" s="41"/>
      <c r="G11" s="1"/>
      <c r="H11" s="71" t="s">
        <v>50</v>
      </c>
      <c r="I11" s="71"/>
      <c r="J11" s="71"/>
      <c r="K11" s="71"/>
      <c r="L11" s="71"/>
      <c r="M11" s="71"/>
      <c r="N11" s="52"/>
      <c r="O11" s="52"/>
      <c r="P11" s="52"/>
      <c r="Q11" s="52"/>
      <c r="R11" s="1"/>
      <c r="S11" s="36">
        <v>1</v>
      </c>
      <c r="T11" s="37">
        <v>6</v>
      </c>
      <c r="U11" s="38">
        <f t="shared" si="3"/>
        <v>52000</v>
      </c>
      <c r="V11" s="38">
        <f t="shared" si="4"/>
        <v>0</v>
      </c>
      <c r="W11" s="38">
        <f t="shared" si="1"/>
        <v>383.06666666666666</v>
      </c>
      <c r="X11" s="38">
        <f t="shared" si="2"/>
        <v>383.06666666666666</v>
      </c>
      <c r="Y11" s="1"/>
    </row>
    <row r="12" spans="1:25">
      <c r="A12" s="4" t="s">
        <v>43</v>
      </c>
      <c r="B12" s="4" t="s">
        <v>8</v>
      </c>
      <c r="C12" s="77" t="s">
        <v>72</v>
      </c>
      <c r="D12" s="77"/>
      <c r="E12" s="78"/>
      <c r="F12" s="41"/>
      <c r="G12" s="1"/>
      <c r="H12" s="71"/>
      <c r="I12" s="71"/>
      <c r="J12" s="71"/>
      <c r="K12" s="71"/>
      <c r="L12" s="71"/>
      <c r="M12" s="71"/>
      <c r="N12" s="52"/>
      <c r="O12" s="52"/>
      <c r="P12" s="52"/>
      <c r="Q12" s="52"/>
      <c r="R12" s="1"/>
      <c r="S12" s="36">
        <v>1</v>
      </c>
      <c r="T12" s="37">
        <v>7</v>
      </c>
      <c r="U12" s="38">
        <f t="shared" si="3"/>
        <v>52000</v>
      </c>
      <c r="V12" s="38">
        <f t="shared" si="4"/>
        <v>0</v>
      </c>
      <c r="W12" s="38">
        <f t="shared" si="1"/>
        <v>383.06666666666666</v>
      </c>
      <c r="X12" s="38">
        <f t="shared" si="2"/>
        <v>383.06666666666666</v>
      </c>
      <c r="Y12" s="1"/>
    </row>
    <row r="13" spans="1:25" ht="15.75" customHeight="1">
      <c r="A13" s="4" t="s">
        <v>43</v>
      </c>
      <c r="B13" s="4" t="s">
        <v>11</v>
      </c>
      <c r="C13" s="77" t="s">
        <v>73</v>
      </c>
      <c r="D13" s="77"/>
      <c r="E13" s="78"/>
      <c r="F13" s="41"/>
      <c r="G13" s="1"/>
      <c r="H13" s="71"/>
      <c r="I13" s="71"/>
      <c r="J13" s="71"/>
      <c r="K13" s="71"/>
      <c r="L13" s="71"/>
      <c r="M13" s="71"/>
      <c r="N13" s="1"/>
      <c r="O13" s="1"/>
      <c r="P13" s="1"/>
      <c r="Q13" s="1"/>
      <c r="R13" s="1"/>
      <c r="S13" s="36">
        <v>1</v>
      </c>
      <c r="T13" s="37">
        <v>8</v>
      </c>
      <c r="U13" s="38">
        <f t="shared" si="3"/>
        <v>52000</v>
      </c>
      <c r="V13" s="38">
        <f t="shared" si="4"/>
        <v>0</v>
      </c>
      <c r="W13" s="38">
        <f t="shared" si="1"/>
        <v>383.06666666666666</v>
      </c>
      <c r="X13" s="38">
        <f t="shared" si="2"/>
        <v>383.06666666666666</v>
      </c>
      <c r="Y13" s="1"/>
    </row>
    <row r="14" spans="1:25" ht="15" customHeight="1">
      <c r="A14" s="7" t="s">
        <v>14</v>
      </c>
      <c r="B14" s="8"/>
      <c r="C14" s="79" t="s">
        <v>35</v>
      </c>
      <c r="D14" s="79"/>
      <c r="E14" s="80"/>
      <c r="F14" s="41"/>
      <c r="G14" s="1"/>
      <c r="H14" s="1"/>
      <c r="I14" s="1"/>
      <c r="J14" s="1"/>
      <c r="K14" s="1"/>
      <c r="L14" s="1"/>
      <c r="M14" s="42"/>
      <c r="N14" s="1"/>
      <c r="O14" s="1"/>
      <c r="P14" s="1"/>
      <c r="Q14" s="1"/>
      <c r="R14" s="1"/>
      <c r="S14" s="36">
        <v>1</v>
      </c>
      <c r="T14" s="37">
        <v>9</v>
      </c>
      <c r="U14" s="38">
        <f t="shared" si="3"/>
        <v>52000</v>
      </c>
      <c r="V14" s="38">
        <f t="shared" si="4"/>
        <v>0</v>
      </c>
      <c r="W14" s="38">
        <f t="shared" si="1"/>
        <v>383.06666666666666</v>
      </c>
      <c r="X14" s="38">
        <f t="shared" si="2"/>
        <v>383.06666666666666</v>
      </c>
      <c r="Y14" s="1"/>
    </row>
    <row r="15" spans="1:25" ht="15" customHeight="1">
      <c r="A15" s="1"/>
      <c r="B15" s="1"/>
      <c r="C15" s="1"/>
      <c r="D15" s="1"/>
      <c r="E15" s="1"/>
      <c r="F15" s="1"/>
      <c r="G15" s="1"/>
      <c r="H15" s="14" t="s">
        <v>51</v>
      </c>
      <c r="I15" s="15"/>
      <c r="J15" s="16"/>
      <c r="K15" s="17"/>
      <c r="L15" s="15">
        <f>IF(L10&lt;=0,"Insolvente",IF(AND(L2="monotributo"),L4/12*2,IF(AND(L2&lt;&gt;"Humana",L2&lt;&gt;"jurídica"),"Error",IF(AND(L10&lt;0.03,L5&lt;Auxiliar!G2),L5/12,IF((AND(L10&lt;0.03,L5&gt;=Auxiliar!G2)),Auxiliar!F2,IF(AND(L10&gt;=0.03,L10&lt;0.07,L5&lt;=Auxiliar!G3),L5/12,IF(AND(L10&gt;=0.03,L10&lt;0.07,L5&gt;=Auxiliar!G3),Auxiliar!F3,IF(AND(L10&gt;=0.07,L10&lt;0.13,L5&lt;=Auxiliar!G4),L5/12*2,IF(AND(L10&gt;=0.07,L10&lt;0.13,L5&gt;Auxiliar!G4),Auxiliar!F4,IF(AND(L10&gt;=0.13,L5&lt;Auxiliar!G5),L5/12*3,IF(AND(L10&gt;0.13,L5&gt;=Auxiliar!G5),Auxiliar!F5,0)))))))))))</f>
        <v>104369.5</v>
      </c>
      <c r="M15" s="42"/>
      <c r="N15" s="1"/>
      <c r="O15" s="1"/>
      <c r="P15" s="1"/>
      <c r="Q15" s="1"/>
      <c r="R15" s="1"/>
      <c r="S15" s="36">
        <v>1</v>
      </c>
      <c r="T15" s="37">
        <v>10</v>
      </c>
      <c r="U15" s="38">
        <f t="shared" si="3"/>
        <v>52000</v>
      </c>
      <c r="V15" s="38">
        <f t="shared" si="4"/>
        <v>0</v>
      </c>
      <c r="W15" s="38">
        <f t="shared" si="1"/>
        <v>383.06666666666666</v>
      </c>
      <c r="X15" s="38">
        <f t="shared" si="2"/>
        <v>383.06666666666666</v>
      </c>
      <c r="Y15" s="1"/>
    </row>
    <row r="16" spans="1:25" ht="15" customHeight="1">
      <c r="A16" s="1"/>
      <c r="B16" s="1"/>
      <c r="C16" s="1"/>
      <c r="D16" s="1"/>
      <c r="E16" s="6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6">
        <v>1</v>
      </c>
      <c r="T16" s="37">
        <v>11</v>
      </c>
      <c r="U16" s="38">
        <f t="shared" si="3"/>
        <v>52000</v>
      </c>
      <c r="V16" s="38">
        <f t="shared" si="4"/>
        <v>0</v>
      </c>
      <c r="W16" s="38">
        <f t="shared" si="1"/>
        <v>383.06666666666666</v>
      </c>
      <c r="X16" s="38">
        <f t="shared" si="2"/>
        <v>383.06666666666666</v>
      </c>
      <c r="Y16" s="1"/>
    </row>
    <row r="17" spans="1:25" ht="15" customHeight="1">
      <c r="A17" s="1"/>
      <c r="B17" s="1"/>
      <c r="C17" s="1"/>
      <c r="D17" s="1"/>
      <c r="E17" s="1"/>
      <c r="F17" s="1"/>
      <c r="G17" s="1"/>
      <c r="H17" s="45" t="s">
        <v>52</v>
      </c>
      <c r="I17" s="15"/>
      <c r="J17" s="16"/>
      <c r="K17" s="17"/>
      <c r="L17" s="54">
        <v>52000</v>
      </c>
      <c r="M17" s="46" t="str">
        <f>IF(L17&gt;L15,"Monto mayor al permitido","")</f>
        <v/>
      </c>
      <c r="N17" s="1"/>
      <c r="O17" s="1"/>
      <c r="P17" s="1"/>
      <c r="Q17" s="1"/>
      <c r="R17" s="1"/>
      <c r="S17" s="36">
        <v>1</v>
      </c>
      <c r="T17" s="37">
        <v>12</v>
      </c>
      <c r="U17" s="38">
        <f t="shared" si="3"/>
        <v>52000</v>
      </c>
      <c r="V17" s="38">
        <f t="shared" si="4"/>
        <v>4000</v>
      </c>
      <c r="W17" s="38">
        <f t="shared" si="1"/>
        <v>383.06666666666666</v>
      </c>
      <c r="X17" s="38">
        <f t="shared" si="2"/>
        <v>4383.0666666666666</v>
      </c>
      <c r="Y17" s="1"/>
    </row>
    <row r="18" spans="1:25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6">
        <v>2</v>
      </c>
      <c r="T18" s="37">
        <v>13</v>
      </c>
      <c r="U18" s="38">
        <f t="shared" si="3"/>
        <v>48000</v>
      </c>
      <c r="V18" s="38">
        <f t="shared" si="4"/>
        <v>4000</v>
      </c>
      <c r="W18" s="38">
        <f t="shared" si="1"/>
        <v>353.60000000000008</v>
      </c>
      <c r="X18" s="38">
        <f t="shared" si="2"/>
        <v>4353.6000000000004</v>
      </c>
      <c r="Y18" s="1"/>
    </row>
    <row r="19" spans="1:25" ht="15" customHeight="1">
      <c r="A19" s="3" t="s">
        <v>20</v>
      </c>
      <c r="B19" s="1"/>
      <c r="C19" s="83" t="s">
        <v>36</v>
      </c>
      <c r="D19" s="84"/>
      <c r="E19" s="1"/>
      <c r="F19" s="1"/>
      <c r="G19" s="1"/>
      <c r="H19" s="72" t="s">
        <v>45</v>
      </c>
      <c r="I19" s="73"/>
      <c r="J19" s="73"/>
      <c r="K19" s="73"/>
      <c r="L19" s="73"/>
      <c r="M19" s="73"/>
      <c r="N19" s="73"/>
      <c r="O19" s="74"/>
      <c r="P19" s="1"/>
      <c r="Q19" s="1"/>
      <c r="R19" s="1"/>
      <c r="S19" s="36">
        <v>2</v>
      </c>
      <c r="T19" s="37">
        <v>14</v>
      </c>
      <c r="U19" s="38">
        <f t="shared" si="3"/>
        <v>44000</v>
      </c>
      <c r="V19" s="38">
        <f t="shared" si="4"/>
        <v>4000</v>
      </c>
      <c r="W19" s="38">
        <f t="shared" si="1"/>
        <v>324.13333333333338</v>
      </c>
      <c r="X19" s="38">
        <f t="shared" si="2"/>
        <v>4324.1333333333332</v>
      </c>
      <c r="Y19" s="1"/>
    </row>
    <row r="20" spans="1:25">
      <c r="A20" s="4" t="s">
        <v>14</v>
      </c>
      <c r="B20" s="1"/>
      <c r="C20" s="6" t="s">
        <v>53</v>
      </c>
      <c r="D20" s="9">
        <v>208739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6">
        <v>2</v>
      </c>
      <c r="T20" s="37">
        <v>15</v>
      </c>
      <c r="U20" s="38">
        <f t="shared" si="3"/>
        <v>40000</v>
      </c>
      <c r="V20" s="38">
        <f t="shared" si="4"/>
        <v>4000</v>
      </c>
      <c r="W20" s="38">
        <f t="shared" si="1"/>
        <v>294.66666666666669</v>
      </c>
      <c r="X20" s="38">
        <f t="shared" si="2"/>
        <v>4294.666666666667</v>
      </c>
      <c r="Y20" s="1"/>
    </row>
    <row r="21" spans="1:25" ht="15" customHeight="1">
      <c r="A21" s="4" t="s">
        <v>42</v>
      </c>
      <c r="B21" s="1"/>
      <c r="C21" s="4" t="s">
        <v>54</v>
      </c>
      <c r="D21" s="9">
        <v>313108</v>
      </c>
      <c r="E21" s="1"/>
      <c r="F21" s="1"/>
      <c r="G21" s="1"/>
      <c r="H21" s="18" t="s">
        <v>41</v>
      </c>
      <c r="I21" s="19"/>
      <c r="J21" s="75" t="s">
        <v>9</v>
      </c>
      <c r="K21" s="75" t="s">
        <v>12</v>
      </c>
      <c r="L21" s="75" t="s">
        <v>49</v>
      </c>
      <c r="M21" s="75" t="s">
        <v>46</v>
      </c>
      <c r="N21" s="75" t="s">
        <v>47</v>
      </c>
      <c r="O21" s="81" t="s">
        <v>40</v>
      </c>
      <c r="P21" s="1"/>
      <c r="Q21" s="1"/>
      <c r="R21" s="1"/>
      <c r="S21" s="36">
        <v>2</v>
      </c>
      <c r="T21" s="37">
        <v>16</v>
      </c>
      <c r="U21" s="38">
        <f>U20-V20</f>
        <v>36000</v>
      </c>
      <c r="V21" s="38">
        <f t="shared" si="4"/>
        <v>4000</v>
      </c>
      <c r="W21" s="38">
        <f t="shared" si="1"/>
        <v>265.2</v>
      </c>
      <c r="X21" s="38">
        <f t="shared" si="2"/>
        <v>4265.2</v>
      </c>
      <c r="Y21" s="1"/>
    </row>
    <row r="22" spans="1:25">
      <c r="A22" s="8" t="s">
        <v>37</v>
      </c>
      <c r="B22" s="1"/>
      <c r="C22" s="4" t="s">
        <v>55</v>
      </c>
      <c r="D22" s="9">
        <v>417478</v>
      </c>
      <c r="E22" s="1"/>
      <c r="F22" s="1"/>
      <c r="G22" s="1"/>
      <c r="H22" s="20" t="s">
        <v>23</v>
      </c>
      <c r="I22" s="21" t="s">
        <v>24</v>
      </c>
      <c r="J22" s="76"/>
      <c r="K22" s="76"/>
      <c r="L22" s="76"/>
      <c r="M22" s="76"/>
      <c r="N22" s="76"/>
      <c r="O22" s="82"/>
      <c r="P22" s="1"/>
      <c r="Q22" s="1"/>
      <c r="R22" s="1"/>
      <c r="S22" s="36">
        <v>2</v>
      </c>
      <c r="T22" s="37">
        <v>17</v>
      </c>
      <c r="U22" s="38">
        <f t="shared" ref="U22:U29" si="5">U21-V21</f>
        <v>32000</v>
      </c>
      <c r="V22" s="38">
        <f t="shared" si="4"/>
        <v>4000</v>
      </c>
      <c r="W22" s="38">
        <f t="shared" si="1"/>
        <v>235.73333333333335</v>
      </c>
      <c r="X22" s="38">
        <f t="shared" si="2"/>
        <v>4235.7333333333336</v>
      </c>
      <c r="Y22" s="1"/>
    </row>
    <row r="23" spans="1:25">
      <c r="A23" s="1"/>
      <c r="B23" s="1"/>
      <c r="C23" s="4" t="s">
        <v>56</v>
      </c>
      <c r="D23" s="9">
        <v>626217</v>
      </c>
      <c r="E23" s="1"/>
      <c r="F23" s="1"/>
      <c r="G23" s="1"/>
      <c r="H23" s="22">
        <v>1</v>
      </c>
      <c r="I23" s="22">
        <v>1</v>
      </c>
      <c r="J23" s="23">
        <f t="shared" ref="J23:J46" si="6">+IF(I23&lt;=$Q$8,IF($L$2&lt;&gt;"monotributo",$L$5/12,IF($L$5&gt;VLOOKUP($L$3,$C$20:$D$30,2,0),(VLOOKUP($L$3,$C$20:$D$30,2,0))/12,$L$5/12)),0)</f>
        <v>0</v>
      </c>
      <c r="K23" s="23">
        <f>+IF(I23&lt;=$Q$8,($L$6+$L$7+$L$8)/12,0)</f>
        <v>0</v>
      </c>
      <c r="L23" s="23">
        <f>-K23+J23</f>
        <v>0</v>
      </c>
      <c r="M23" s="23">
        <f t="shared" ref="M23:M46" si="7">+L23-X6</f>
        <v>-383.06666666666666</v>
      </c>
      <c r="N23" s="23">
        <f>+IF(I23&lt;=$Q$8,$Q$2/$Q$8,0)</f>
        <v>2166.6666666666665</v>
      </c>
      <c r="O23" s="24">
        <f>+N23+M23</f>
        <v>1783.6</v>
      </c>
      <c r="P23" s="1"/>
      <c r="Q23" s="1"/>
      <c r="R23" s="1"/>
      <c r="S23" s="36">
        <v>2</v>
      </c>
      <c r="T23" s="37">
        <v>18</v>
      </c>
      <c r="U23" s="38">
        <f t="shared" si="5"/>
        <v>28000</v>
      </c>
      <c r="V23" s="38">
        <f t="shared" si="4"/>
        <v>4000</v>
      </c>
      <c r="W23" s="38">
        <f t="shared" si="1"/>
        <v>206.26666666666668</v>
      </c>
      <c r="X23" s="38">
        <f t="shared" si="2"/>
        <v>4206.2666666666664</v>
      </c>
      <c r="Y23" s="1"/>
    </row>
    <row r="24" spans="1:25" ht="16.5" customHeight="1">
      <c r="A24" s="1"/>
      <c r="B24" s="1"/>
      <c r="C24" s="4" t="s">
        <v>57</v>
      </c>
      <c r="D24" s="9">
        <v>834957</v>
      </c>
      <c r="E24" s="1"/>
      <c r="F24" s="1"/>
      <c r="G24" s="1"/>
      <c r="H24" s="22">
        <v>1</v>
      </c>
      <c r="I24" s="22">
        <v>2</v>
      </c>
      <c r="J24" s="23">
        <f t="shared" si="6"/>
        <v>0</v>
      </c>
      <c r="K24" s="23">
        <f t="shared" ref="K24:K46" si="8">+IF(I24&lt;=$Q$8,($L$6+$L$7+$L$8)/12,0)</f>
        <v>0</v>
      </c>
      <c r="L24" s="23">
        <f t="shared" ref="L24:L46" si="9">-K24+J24</f>
        <v>0</v>
      </c>
      <c r="M24" s="23">
        <f t="shared" si="7"/>
        <v>-383.06666666666666</v>
      </c>
      <c r="N24" s="23">
        <f t="shared" ref="N24:N46" si="10">+IF(I24&lt;=$Q$8,$Q$2/$Q$8,0)</f>
        <v>2166.6666666666665</v>
      </c>
      <c r="O24" s="24">
        <f t="shared" ref="O24:O46" si="11">+N24+M24</f>
        <v>1783.6</v>
      </c>
      <c r="P24" s="1"/>
      <c r="Q24" s="1"/>
      <c r="R24" s="1"/>
      <c r="S24" s="36">
        <v>2</v>
      </c>
      <c r="T24" s="37">
        <v>19</v>
      </c>
      <c r="U24" s="38">
        <f t="shared" si="5"/>
        <v>24000</v>
      </c>
      <c r="V24" s="38">
        <f t="shared" si="4"/>
        <v>4000</v>
      </c>
      <c r="W24" s="38">
        <f t="shared" si="1"/>
        <v>176.80000000000004</v>
      </c>
      <c r="X24" s="38">
        <f t="shared" si="2"/>
        <v>4176.8</v>
      </c>
      <c r="Y24" s="1"/>
    </row>
    <row r="25" spans="1:25">
      <c r="A25" s="1"/>
      <c r="B25" s="1"/>
      <c r="C25" s="4" t="s">
        <v>58</v>
      </c>
      <c r="D25" s="9">
        <v>1043696</v>
      </c>
      <c r="E25" s="1"/>
      <c r="F25" s="1"/>
      <c r="G25" s="1"/>
      <c r="H25" s="22">
        <v>1</v>
      </c>
      <c r="I25" s="22">
        <v>3</v>
      </c>
      <c r="J25" s="23">
        <f t="shared" si="6"/>
        <v>0</v>
      </c>
      <c r="K25" s="23">
        <f t="shared" si="8"/>
        <v>0</v>
      </c>
      <c r="L25" s="23">
        <f t="shared" si="9"/>
        <v>0</v>
      </c>
      <c r="M25" s="23">
        <f t="shared" si="7"/>
        <v>-383.06666666666666</v>
      </c>
      <c r="N25" s="23">
        <f t="shared" si="10"/>
        <v>2166.6666666666665</v>
      </c>
      <c r="O25" s="24">
        <f t="shared" si="11"/>
        <v>1783.6</v>
      </c>
      <c r="P25" s="1"/>
      <c r="Q25" s="1"/>
      <c r="R25" s="1"/>
      <c r="S25" s="36">
        <v>2</v>
      </c>
      <c r="T25" s="37">
        <v>20</v>
      </c>
      <c r="U25" s="38">
        <f t="shared" si="5"/>
        <v>20000</v>
      </c>
      <c r="V25" s="38">
        <f t="shared" si="4"/>
        <v>4000</v>
      </c>
      <c r="W25" s="38">
        <f t="shared" si="1"/>
        <v>147.33333333333334</v>
      </c>
      <c r="X25" s="38">
        <f t="shared" si="2"/>
        <v>4147.333333333333</v>
      </c>
      <c r="Y25" s="1"/>
    </row>
    <row r="26" spans="1:25">
      <c r="A26" s="1"/>
      <c r="B26" s="1"/>
      <c r="C26" s="4" t="s">
        <v>59</v>
      </c>
      <c r="D26" s="9">
        <v>1252435</v>
      </c>
      <c r="E26" s="1"/>
      <c r="F26" s="1"/>
      <c r="G26" s="1"/>
      <c r="H26" s="22">
        <v>1</v>
      </c>
      <c r="I26" s="22">
        <v>4</v>
      </c>
      <c r="J26" s="23">
        <f t="shared" si="6"/>
        <v>0</v>
      </c>
      <c r="K26" s="23">
        <f t="shared" si="8"/>
        <v>0</v>
      </c>
      <c r="L26" s="23">
        <f t="shared" si="9"/>
        <v>0</v>
      </c>
      <c r="M26" s="23">
        <f t="shared" si="7"/>
        <v>-383.06666666666666</v>
      </c>
      <c r="N26" s="23">
        <f t="shared" si="10"/>
        <v>2166.6666666666665</v>
      </c>
      <c r="O26" s="24">
        <f t="shared" si="11"/>
        <v>1783.6</v>
      </c>
      <c r="P26" s="1"/>
      <c r="Q26" s="1"/>
      <c r="R26" s="1"/>
      <c r="S26" s="36">
        <v>2</v>
      </c>
      <c r="T26" s="37">
        <v>21</v>
      </c>
      <c r="U26" s="38">
        <f t="shared" si="5"/>
        <v>16000</v>
      </c>
      <c r="V26" s="38">
        <f t="shared" si="4"/>
        <v>4000</v>
      </c>
      <c r="W26" s="38">
        <f t="shared" si="1"/>
        <v>117.86666666666667</v>
      </c>
      <c r="X26" s="38">
        <f t="shared" si="2"/>
        <v>4117.8666666666668</v>
      </c>
      <c r="Y26" s="1"/>
    </row>
    <row r="27" spans="1:25">
      <c r="A27" s="1"/>
      <c r="B27" s="1"/>
      <c r="C27" s="4" t="s">
        <v>60</v>
      </c>
      <c r="D27" s="9">
        <v>1739493</v>
      </c>
      <c r="E27" s="1"/>
      <c r="F27" s="1"/>
      <c r="G27" s="1"/>
      <c r="H27" s="22">
        <v>1</v>
      </c>
      <c r="I27" s="22">
        <v>5</v>
      </c>
      <c r="J27" s="23">
        <f t="shared" si="6"/>
        <v>0</v>
      </c>
      <c r="K27" s="23">
        <f t="shared" si="8"/>
        <v>0</v>
      </c>
      <c r="L27" s="23">
        <f t="shared" si="9"/>
        <v>0</v>
      </c>
      <c r="M27" s="23">
        <f t="shared" si="7"/>
        <v>-383.06666666666666</v>
      </c>
      <c r="N27" s="23">
        <f t="shared" si="10"/>
        <v>2166.6666666666665</v>
      </c>
      <c r="O27" s="24">
        <f t="shared" si="11"/>
        <v>1783.6</v>
      </c>
      <c r="P27" s="1"/>
      <c r="Q27" s="1"/>
      <c r="R27" s="1"/>
      <c r="S27" s="36">
        <v>2</v>
      </c>
      <c r="T27" s="37">
        <v>22</v>
      </c>
      <c r="U27" s="38">
        <f t="shared" si="5"/>
        <v>12000</v>
      </c>
      <c r="V27" s="38">
        <f t="shared" si="4"/>
        <v>4000</v>
      </c>
      <c r="W27" s="38">
        <f t="shared" si="1"/>
        <v>88.40000000000002</v>
      </c>
      <c r="X27" s="38">
        <f t="shared" si="2"/>
        <v>4088.4</v>
      </c>
      <c r="Y27" s="1"/>
    </row>
    <row r="28" spans="1:25">
      <c r="A28" s="1"/>
      <c r="B28" s="1"/>
      <c r="C28" s="4" t="s">
        <v>61</v>
      </c>
      <c r="D28" s="9">
        <v>2043905</v>
      </c>
      <c r="E28" s="1"/>
      <c r="F28" s="1"/>
      <c r="G28" s="1"/>
      <c r="H28" s="22">
        <v>1</v>
      </c>
      <c r="I28" s="22">
        <v>6</v>
      </c>
      <c r="J28" s="23">
        <f t="shared" si="6"/>
        <v>0</v>
      </c>
      <c r="K28" s="23">
        <f t="shared" si="8"/>
        <v>0</v>
      </c>
      <c r="L28" s="23">
        <f t="shared" si="9"/>
        <v>0</v>
      </c>
      <c r="M28" s="23">
        <f t="shared" si="7"/>
        <v>-383.06666666666666</v>
      </c>
      <c r="N28" s="23">
        <f t="shared" si="10"/>
        <v>2166.6666666666665</v>
      </c>
      <c r="O28" s="24">
        <f t="shared" si="11"/>
        <v>1783.6</v>
      </c>
      <c r="P28" s="1"/>
      <c r="Q28" s="1"/>
      <c r="R28" s="1"/>
      <c r="S28" s="36">
        <v>2</v>
      </c>
      <c r="T28" s="37">
        <v>23</v>
      </c>
      <c r="U28" s="38">
        <f t="shared" si="5"/>
        <v>8000</v>
      </c>
      <c r="V28" s="38">
        <f t="shared" si="4"/>
        <v>4000</v>
      </c>
      <c r="W28" s="38">
        <f t="shared" si="1"/>
        <v>58.933333333333337</v>
      </c>
      <c r="X28" s="38">
        <f t="shared" si="2"/>
        <v>4058.9333333333334</v>
      </c>
      <c r="Y28" s="1"/>
    </row>
    <row r="29" spans="1:25">
      <c r="A29" s="1"/>
      <c r="B29" s="1"/>
      <c r="C29" s="4" t="s">
        <v>62</v>
      </c>
      <c r="D29" s="9">
        <v>2348316</v>
      </c>
      <c r="E29" s="1"/>
      <c r="F29" s="1"/>
      <c r="G29" s="1"/>
      <c r="H29" s="22">
        <v>1</v>
      </c>
      <c r="I29" s="22">
        <v>7</v>
      </c>
      <c r="J29" s="23">
        <f t="shared" si="6"/>
        <v>0</v>
      </c>
      <c r="K29" s="23">
        <f t="shared" si="8"/>
        <v>0</v>
      </c>
      <c r="L29" s="23">
        <f t="shared" si="9"/>
        <v>0</v>
      </c>
      <c r="M29" s="23">
        <f t="shared" si="7"/>
        <v>-383.06666666666666</v>
      </c>
      <c r="N29" s="23">
        <f t="shared" si="10"/>
        <v>2166.6666666666665</v>
      </c>
      <c r="O29" s="24">
        <f t="shared" si="11"/>
        <v>1783.6</v>
      </c>
      <c r="P29" s="1"/>
      <c r="Q29" s="1"/>
      <c r="R29" s="1"/>
      <c r="S29" s="36">
        <v>2</v>
      </c>
      <c r="T29" s="37">
        <v>24</v>
      </c>
      <c r="U29" s="38">
        <f t="shared" si="5"/>
        <v>4000</v>
      </c>
      <c r="V29" s="38">
        <f>+IF(AND(T29&gt;=$Q$6,T29&lt;=$Q$8),$Q$2/$Q$7,0)</f>
        <v>4000</v>
      </c>
      <c r="W29" s="38">
        <f t="shared" si="1"/>
        <v>29.466666666666669</v>
      </c>
      <c r="X29" s="38">
        <f t="shared" si="2"/>
        <v>4029.4666666666667</v>
      </c>
      <c r="Y29" s="1"/>
    </row>
    <row r="30" spans="1:25">
      <c r="A30" s="1"/>
      <c r="B30" s="1"/>
      <c r="C30" s="8" t="s">
        <v>63</v>
      </c>
      <c r="D30" s="10">
        <v>2609240</v>
      </c>
      <c r="E30" s="1"/>
      <c r="F30" s="1"/>
      <c r="G30" s="1"/>
      <c r="H30" s="22">
        <v>1</v>
      </c>
      <c r="I30" s="22">
        <v>8</v>
      </c>
      <c r="J30" s="23">
        <f t="shared" si="6"/>
        <v>0</v>
      </c>
      <c r="K30" s="23">
        <f t="shared" si="8"/>
        <v>0</v>
      </c>
      <c r="L30" s="23">
        <f t="shared" si="9"/>
        <v>0</v>
      </c>
      <c r="M30" s="23">
        <f t="shared" si="7"/>
        <v>-383.06666666666666</v>
      </c>
      <c r="N30" s="23">
        <f t="shared" si="10"/>
        <v>2166.6666666666665</v>
      </c>
      <c r="O30" s="24">
        <f t="shared" si="11"/>
        <v>1783.6</v>
      </c>
      <c r="P30" s="1"/>
      <c r="Q30" s="1"/>
      <c r="R30" s="1"/>
      <c r="S30" s="1"/>
      <c r="T30" s="1"/>
      <c r="U30" s="1"/>
      <c r="V30" s="1"/>
      <c r="W30" s="39"/>
      <c r="X30" s="1"/>
      <c r="Y30" s="1"/>
    </row>
    <row r="31" spans="1:25">
      <c r="A31" s="1"/>
      <c r="B31" s="1"/>
      <c r="C31" s="1"/>
      <c r="D31" s="1"/>
      <c r="E31" s="1"/>
      <c r="F31" s="1"/>
      <c r="G31" s="1"/>
      <c r="H31" s="22">
        <v>1</v>
      </c>
      <c r="I31" s="22">
        <v>9</v>
      </c>
      <c r="J31" s="23">
        <f t="shared" si="6"/>
        <v>0</v>
      </c>
      <c r="K31" s="23">
        <f t="shared" si="8"/>
        <v>0</v>
      </c>
      <c r="L31" s="23">
        <f t="shared" si="9"/>
        <v>0</v>
      </c>
      <c r="M31" s="23">
        <f t="shared" si="7"/>
        <v>-383.06666666666666</v>
      </c>
      <c r="N31" s="23">
        <f t="shared" si="10"/>
        <v>2166.6666666666665</v>
      </c>
      <c r="O31" s="24">
        <f t="shared" si="11"/>
        <v>1783.6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/>
      <c r="B32" s="1"/>
      <c r="C32" s="1"/>
      <c r="D32" s="1"/>
      <c r="E32" s="1"/>
      <c r="F32" s="1"/>
      <c r="G32" s="1"/>
      <c r="H32" s="22">
        <v>1</v>
      </c>
      <c r="I32" s="22">
        <v>10</v>
      </c>
      <c r="J32" s="23">
        <f t="shared" si="6"/>
        <v>0</v>
      </c>
      <c r="K32" s="23">
        <f t="shared" si="8"/>
        <v>0</v>
      </c>
      <c r="L32" s="23">
        <f t="shared" si="9"/>
        <v>0</v>
      </c>
      <c r="M32" s="23">
        <f t="shared" si="7"/>
        <v>-383.06666666666666</v>
      </c>
      <c r="N32" s="23">
        <f t="shared" si="10"/>
        <v>2166.6666666666665</v>
      </c>
      <c r="O32" s="24">
        <f t="shared" si="11"/>
        <v>1783.6</v>
      </c>
      <c r="P32" s="1"/>
      <c r="Q32" s="1"/>
      <c r="R32" s="1"/>
      <c r="S32" s="40">
        <v>1</v>
      </c>
      <c r="T32" s="1"/>
      <c r="U32" s="1"/>
      <c r="V32" s="1"/>
      <c r="W32" s="1"/>
      <c r="X32" s="1"/>
      <c r="Y32" s="1"/>
    </row>
    <row r="33" spans="1:25">
      <c r="A33" s="1"/>
      <c r="B33" s="1"/>
      <c r="C33" s="1"/>
      <c r="D33" s="1"/>
      <c r="E33" s="1"/>
      <c r="F33" s="1"/>
      <c r="G33" s="1"/>
      <c r="H33" s="22">
        <v>1</v>
      </c>
      <c r="I33" s="22">
        <v>11</v>
      </c>
      <c r="J33" s="23">
        <f t="shared" si="6"/>
        <v>0</v>
      </c>
      <c r="K33" s="23">
        <f t="shared" si="8"/>
        <v>0</v>
      </c>
      <c r="L33" s="23">
        <f t="shared" si="9"/>
        <v>0</v>
      </c>
      <c r="M33" s="23">
        <f t="shared" si="7"/>
        <v>-383.06666666666666</v>
      </c>
      <c r="N33" s="23">
        <f t="shared" si="10"/>
        <v>2166.6666666666665</v>
      </c>
      <c r="O33" s="24">
        <f t="shared" si="11"/>
        <v>1783.6</v>
      </c>
      <c r="P33" s="1"/>
      <c r="Q33" s="1"/>
      <c r="R33" s="1"/>
      <c r="S33" s="40">
        <v>2</v>
      </c>
      <c r="T33" s="1"/>
      <c r="U33" s="1"/>
      <c r="V33" s="1"/>
      <c r="W33" s="1"/>
      <c r="X33" s="1"/>
      <c r="Y33" s="1"/>
    </row>
    <row r="34" spans="1:25">
      <c r="A34" s="1"/>
      <c r="B34" s="1"/>
      <c r="C34" s="1"/>
      <c r="D34" s="1"/>
      <c r="E34" s="1"/>
      <c r="F34" s="1"/>
      <c r="G34" s="1"/>
      <c r="H34" s="22">
        <v>1</v>
      </c>
      <c r="I34" s="22">
        <v>12</v>
      </c>
      <c r="J34" s="23">
        <f t="shared" si="6"/>
        <v>0</v>
      </c>
      <c r="K34" s="23">
        <f t="shared" si="8"/>
        <v>0</v>
      </c>
      <c r="L34" s="23">
        <f t="shared" si="9"/>
        <v>0</v>
      </c>
      <c r="M34" s="23">
        <f t="shared" si="7"/>
        <v>-4383.0666666666666</v>
      </c>
      <c r="N34" s="23">
        <f t="shared" si="10"/>
        <v>2166.6666666666665</v>
      </c>
      <c r="O34" s="24">
        <f t="shared" si="11"/>
        <v>-2216.4</v>
      </c>
      <c r="P34" s="1"/>
      <c r="Q34" s="1"/>
      <c r="R34" s="1"/>
      <c r="S34" s="40">
        <v>3</v>
      </c>
      <c r="T34" s="1"/>
      <c r="U34" s="1"/>
      <c r="V34" s="1"/>
      <c r="W34" s="1"/>
      <c r="X34" s="1"/>
      <c r="Y34" s="1"/>
    </row>
    <row r="35" spans="1:25">
      <c r="A35" s="1"/>
      <c r="B35" s="1"/>
      <c r="C35" s="1"/>
      <c r="D35" s="1"/>
      <c r="E35" s="1"/>
      <c r="F35" s="1"/>
      <c r="G35" s="1"/>
      <c r="H35" s="22">
        <v>2</v>
      </c>
      <c r="I35" s="22">
        <v>13</v>
      </c>
      <c r="J35" s="23">
        <f t="shared" si="6"/>
        <v>0</v>
      </c>
      <c r="K35" s="23">
        <f t="shared" si="8"/>
        <v>0</v>
      </c>
      <c r="L35" s="23">
        <f t="shared" si="9"/>
        <v>0</v>
      </c>
      <c r="M35" s="23">
        <f t="shared" si="7"/>
        <v>-4353.6000000000004</v>
      </c>
      <c r="N35" s="23">
        <f t="shared" si="10"/>
        <v>2166.6666666666665</v>
      </c>
      <c r="O35" s="24">
        <f t="shared" si="11"/>
        <v>-2186.9333333333338</v>
      </c>
      <c r="P35" s="1"/>
      <c r="Q35" s="1"/>
      <c r="R35" s="1"/>
      <c r="S35" s="53">
        <v>6</v>
      </c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22">
        <v>2</v>
      </c>
      <c r="I36" s="22">
        <v>14</v>
      </c>
      <c r="J36" s="23">
        <f t="shared" si="6"/>
        <v>0</v>
      </c>
      <c r="K36" s="23">
        <f t="shared" si="8"/>
        <v>0</v>
      </c>
      <c r="L36" s="23">
        <f t="shared" si="9"/>
        <v>0</v>
      </c>
      <c r="M36" s="23">
        <f t="shared" si="7"/>
        <v>-4324.1333333333332</v>
      </c>
      <c r="N36" s="23">
        <f t="shared" si="10"/>
        <v>2166.6666666666665</v>
      </c>
      <c r="O36" s="24">
        <f t="shared" si="11"/>
        <v>-2157.4666666666667</v>
      </c>
      <c r="P36" s="1"/>
      <c r="Q36" s="1"/>
      <c r="R36" s="1"/>
      <c r="S36" s="40">
        <v>12</v>
      </c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22">
        <v>2</v>
      </c>
      <c r="I37" s="22">
        <v>15</v>
      </c>
      <c r="J37" s="23">
        <f t="shared" si="6"/>
        <v>0</v>
      </c>
      <c r="K37" s="23">
        <f t="shared" si="8"/>
        <v>0</v>
      </c>
      <c r="L37" s="23">
        <f t="shared" si="9"/>
        <v>0</v>
      </c>
      <c r="M37" s="23">
        <f t="shared" si="7"/>
        <v>-4294.666666666667</v>
      </c>
      <c r="N37" s="23">
        <f t="shared" si="10"/>
        <v>2166.6666666666665</v>
      </c>
      <c r="O37" s="24">
        <f t="shared" si="11"/>
        <v>-2128.0000000000005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22">
        <v>2</v>
      </c>
      <c r="I38" s="22">
        <v>16</v>
      </c>
      <c r="J38" s="23">
        <f t="shared" si="6"/>
        <v>0</v>
      </c>
      <c r="K38" s="23">
        <f t="shared" si="8"/>
        <v>0</v>
      </c>
      <c r="L38" s="23">
        <f t="shared" si="9"/>
        <v>0</v>
      </c>
      <c r="M38" s="23">
        <f t="shared" si="7"/>
        <v>-4265.2</v>
      </c>
      <c r="N38" s="23">
        <f t="shared" si="10"/>
        <v>2166.6666666666665</v>
      </c>
      <c r="O38" s="24">
        <f t="shared" si="11"/>
        <v>-2098.5333333333333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22">
        <v>2</v>
      </c>
      <c r="I39" s="22">
        <v>17</v>
      </c>
      <c r="J39" s="23">
        <f t="shared" si="6"/>
        <v>0</v>
      </c>
      <c r="K39" s="23">
        <f t="shared" si="8"/>
        <v>0</v>
      </c>
      <c r="L39" s="23">
        <f t="shared" si="9"/>
        <v>0</v>
      </c>
      <c r="M39" s="23">
        <f t="shared" si="7"/>
        <v>-4235.7333333333336</v>
      </c>
      <c r="N39" s="23">
        <f t="shared" si="10"/>
        <v>2166.6666666666665</v>
      </c>
      <c r="O39" s="24">
        <f t="shared" si="11"/>
        <v>-2069.0666666666671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22">
        <v>2</v>
      </c>
      <c r="I40" s="22">
        <v>18</v>
      </c>
      <c r="J40" s="23">
        <f t="shared" si="6"/>
        <v>0</v>
      </c>
      <c r="K40" s="23">
        <f t="shared" si="8"/>
        <v>0</v>
      </c>
      <c r="L40" s="23">
        <f t="shared" si="9"/>
        <v>0</v>
      </c>
      <c r="M40" s="23">
        <f t="shared" si="7"/>
        <v>-4206.2666666666664</v>
      </c>
      <c r="N40" s="23">
        <f t="shared" si="10"/>
        <v>2166.6666666666665</v>
      </c>
      <c r="O40" s="24">
        <f t="shared" si="11"/>
        <v>-2039.6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22">
        <v>2</v>
      </c>
      <c r="I41" s="22">
        <v>19</v>
      </c>
      <c r="J41" s="23">
        <f t="shared" si="6"/>
        <v>0</v>
      </c>
      <c r="K41" s="23">
        <f t="shared" si="8"/>
        <v>0</v>
      </c>
      <c r="L41" s="23">
        <f t="shared" si="9"/>
        <v>0</v>
      </c>
      <c r="M41" s="23">
        <f t="shared" si="7"/>
        <v>-4176.8</v>
      </c>
      <c r="N41" s="23">
        <f t="shared" si="10"/>
        <v>2166.6666666666665</v>
      </c>
      <c r="O41" s="24">
        <f t="shared" si="11"/>
        <v>-2010.1333333333337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22">
        <v>2</v>
      </c>
      <c r="I42" s="22">
        <v>20</v>
      </c>
      <c r="J42" s="23">
        <f t="shared" si="6"/>
        <v>0</v>
      </c>
      <c r="K42" s="23">
        <f t="shared" si="8"/>
        <v>0</v>
      </c>
      <c r="L42" s="23">
        <f t="shared" si="9"/>
        <v>0</v>
      </c>
      <c r="M42" s="23">
        <f t="shared" si="7"/>
        <v>-4147.333333333333</v>
      </c>
      <c r="N42" s="23">
        <f t="shared" si="10"/>
        <v>2166.6666666666665</v>
      </c>
      <c r="O42" s="24">
        <f t="shared" si="11"/>
        <v>-1980.6666666666665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22">
        <v>2</v>
      </c>
      <c r="I43" s="22">
        <v>21</v>
      </c>
      <c r="J43" s="23">
        <f t="shared" si="6"/>
        <v>0</v>
      </c>
      <c r="K43" s="23">
        <f t="shared" si="8"/>
        <v>0</v>
      </c>
      <c r="L43" s="23">
        <f t="shared" si="9"/>
        <v>0</v>
      </c>
      <c r="M43" s="23">
        <f t="shared" si="7"/>
        <v>-4117.8666666666668</v>
      </c>
      <c r="N43" s="23">
        <f t="shared" si="10"/>
        <v>2166.6666666666665</v>
      </c>
      <c r="O43" s="24">
        <f t="shared" si="11"/>
        <v>-1951.2000000000003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22">
        <v>2</v>
      </c>
      <c r="I44" s="22">
        <v>22</v>
      </c>
      <c r="J44" s="23">
        <f t="shared" si="6"/>
        <v>0</v>
      </c>
      <c r="K44" s="23">
        <f t="shared" si="8"/>
        <v>0</v>
      </c>
      <c r="L44" s="23">
        <f t="shared" si="9"/>
        <v>0</v>
      </c>
      <c r="M44" s="23">
        <f t="shared" si="7"/>
        <v>-4088.4</v>
      </c>
      <c r="N44" s="23">
        <f t="shared" si="10"/>
        <v>2166.6666666666665</v>
      </c>
      <c r="O44" s="24">
        <f t="shared" si="11"/>
        <v>-1921.7333333333336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22">
        <v>2</v>
      </c>
      <c r="I45" s="22">
        <v>23</v>
      </c>
      <c r="J45" s="23">
        <f t="shared" si="6"/>
        <v>0</v>
      </c>
      <c r="K45" s="23">
        <f t="shared" si="8"/>
        <v>0</v>
      </c>
      <c r="L45" s="23">
        <f t="shared" si="9"/>
        <v>0</v>
      </c>
      <c r="M45" s="23">
        <f t="shared" si="7"/>
        <v>-4058.9333333333334</v>
      </c>
      <c r="N45" s="23">
        <f t="shared" si="10"/>
        <v>2166.6666666666665</v>
      </c>
      <c r="O45" s="24">
        <f t="shared" si="11"/>
        <v>-1892.2666666666669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22">
        <v>2</v>
      </c>
      <c r="I46" s="22">
        <v>24</v>
      </c>
      <c r="J46" s="23">
        <f t="shared" si="6"/>
        <v>0</v>
      </c>
      <c r="K46" s="23">
        <f t="shared" si="8"/>
        <v>0</v>
      </c>
      <c r="L46" s="23">
        <f t="shared" si="9"/>
        <v>0</v>
      </c>
      <c r="M46" s="23">
        <f t="shared" si="7"/>
        <v>-4029.4666666666667</v>
      </c>
      <c r="N46" s="23">
        <f t="shared" si="10"/>
        <v>2166.6666666666665</v>
      </c>
      <c r="O46" s="24">
        <f t="shared" si="11"/>
        <v>-1862.8000000000002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sheetProtection sheet="1" formatCells="0" selectLockedCells="1"/>
  <mergeCells count="30">
    <mergeCell ref="A8:E8"/>
    <mergeCell ref="H8:K8"/>
    <mergeCell ref="A2:E2"/>
    <mergeCell ref="H2:K2"/>
    <mergeCell ref="B3:E3"/>
    <mergeCell ref="H3:K3"/>
    <mergeCell ref="B4:E4"/>
    <mergeCell ref="H4:K4"/>
    <mergeCell ref="S2:X2"/>
    <mergeCell ref="C13:E13"/>
    <mergeCell ref="C14:E14"/>
    <mergeCell ref="N21:N22"/>
    <mergeCell ref="O21:O22"/>
    <mergeCell ref="C19:D19"/>
    <mergeCell ref="C9:E9"/>
    <mergeCell ref="H9:K9"/>
    <mergeCell ref="C10:E10"/>
    <mergeCell ref="H10:K10"/>
    <mergeCell ref="C11:E11"/>
    <mergeCell ref="C12:E12"/>
    <mergeCell ref="B5:E5"/>
    <mergeCell ref="H5:K5"/>
    <mergeCell ref="H6:K6"/>
    <mergeCell ref="H7:K7"/>
    <mergeCell ref="H11:M13"/>
    <mergeCell ref="H19:O19"/>
    <mergeCell ref="J21:J22"/>
    <mergeCell ref="K21:K22"/>
    <mergeCell ref="L21:L22"/>
    <mergeCell ref="M21:M22"/>
  </mergeCells>
  <conditionalFormatting sqref="P22:P45">
    <cfRule type="cellIs" dxfId="1" priority="6" operator="greaterThan">
      <formula>$I$23</formula>
    </cfRule>
  </conditionalFormatting>
  <conditionalFormatting sqref="Q8">
    <cfRule type="expression" dxfId="0" priority="1">
      <formula>$Q$8 &gt; 24</formula>
    </cfRule>
  </conditionalFormatting>
  <dataValidations count="5">
    <dataValidation type="whole" allowBlank="1" showInputMessage="1" showErrorMessage="1" sqref="Q5">
      <formula1>1</formula1>
      <formula2>4</formula2>
    </dataValidation>
    <dataValidation type="list" allowBlank="1" showInputMessage="1" showErrorMessage="1" promptTitle="Categoria de Monotributo" prompt="Completar solo si es monotributo" sqref="L3">
      <formula1>$C$20:$C$31</formula1>
    </dataValidation>
    <dataValidation type="list" allowBlank="1" showInputMessage="1" showErrorMessage="1" sqref="L2">
      <formula1>$A$20:$A$22</formula1>
    </dataValidation>
    <dataValidation type="list" allowBlank="1" showInputMessage="1" showErrorMessage="1" sqref="Q6">
      <formula1>$S$32:$S$36</formula1>
    </dataValidation>
    <dataValidation type="whole" operator="lessThanOrEqual" allowBlank="1" showInputMessage="1" showErrorMessage="1" sqref="Q8">
      <formula1>24</formula1>
    </dataValidation>
  </dataValidations>
  <pageMargins left="0.7" right="0.7" top="0.75" bottom="0.75" header="0.3" footer="0.3"/>
  <pageSetup orientation="portrait" r:id="rId1"/>
  <ignoredErrors>
    <ignoredError sqref="X6 U7:X29 U6:W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>
      <selection activeCell="A7" sqref="A7"/>
    </sheetView>
  </sheetViews>
  <sheetFormatPr baseColWidth="10" defaultColWidth="10.85546875" defaultRowHeight="15"/>
  <cols>
    <col min="1" max="1" width="17" bestFit="1" customWidth="1"/>
    <col min="2" max="2" width="22" bestFit="1" customWidth="1"/>
    <col min="3" max="3" width="34.5703125" customWidth="1"/>
    <col min="6" max="6" width="13.5703125" bestFit="1" customWidth="1"/>
    <col min="7" max="7" width="14.5703125" bestFit="1" customWidth="1"/>
  </cols>
  <sheetData>
    <row r="1" spans="1:7">
      <c r="A1" s="55"/>
      <c r="B1" s="55" t="s">
        <v>68</v>
      </c>
      <c r="C1" s="104"/>
      <c r="D1" s="105"/>
      <c r="E1" s="106"/>
      <c r="F1" s="56" t="s">
        <v>69</v>
      </c>
      <c r="G1" s="55" t="s">
        <v>70</v>
      </c>
    </row>
    <row r="2" spans="1:7">
      <c r="A2" s="55" t="s">
        <v>43</v>
      </c>
      <c r="B2" s="55" t="s">
        <v>4</v>
      </c>
      <c r="C2" s="103" t="s">
        <v>65</v>
      </c>
      <c r="D2" s="103"/>
      <c r="E2" s="103"/>
      <c r="F2" s="59">
        <v>1800000</v>
      </c>
      <c r="G2" s="57">
        <f>+F2*12</f>
        <v>21600000</v>
      </c>
    </row>
    <row r="3" spans="1:7">
      <c r="A3" s="55" t="s">
        <v>43</v>
      </c>
      <c r="B3" s="55" t="s">
        <v>6</v>
      </c>
      <c r="C3" s="103" t="s">
        <v>64</v>
      </c>
      <c r="D3" s="103"/>
      <c r="E3" s="103"/>
      <c r="F3" s="59">
        <v>2500000</v>
      </c>
      <c r="G3" s="57">
        <f>+F3*12</f>
        <v>30000000</v>
      </c>
    </row>
    <row r="4" spans="1:7">
      <c r="A4" s="55" t="s">
        <v>43</v>
      </c>
      <c r="B4" s="55" t="s">
        <v>8</v>
      </c>
      <c r="C4" s="103" t="s">
        <v>66</v>
      </c>
      <c r="D4" s="103"/>
      <c r="E4" s="103"/>
      <c r="F4" s="59">
        <f>+F3</f>
        <v>2500000</v>
      </c>
      <c r="G4" s="57">
        <f>+F4*6</f>
        <v>15000000</v>
      </c>
    </row>
    <row r="5" spans="1:7">
      <c r="A5" s="55" t="s">
        <v>43</v>
      </c>
      <c r="B5" s="55" t="s">
        <v>11</v>
      </c>
      <c r="C5" s="103" t="s">
        <v>67</v>
      </c>
      <c r="D5" s="103"/>
      <c r="E5" s="103"/>
      <c r="F5" s="59">
        <f>+F4</f>
        <v>2500000</v>
      </c>
      <c r="G5" s="57">
        <f>+F5*4</f>
        <v>10000000</v>
      </c>
    </row>
    <row r="6" spans="1:7">
      <c r="A6" s="55" t="s">
        <v>14</v>
      </c>
      <c r="B6" s="55"/>
      <c r="C6" s="103" t="s">
        <v>35</v>
      </c>
      <c r="D6" s="103"/>
      <c r="E6" s="103"/>
      <c r="F6" s="58"/>
      <c r="G6" s="55"/>
    </row>
  </sheetData>
  <sheetProtection sheet="1" objects="1" scenarios="1"/>
  <mergeCells count="6"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Datos</vt:lpstr>
      <vt:lpstr>Auxiliar</vt:lpstr>
    </vt:vector>
  </TitlesOfParts>
  <Company>CONSEJO FEDERAL DE INVERSIONES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CRESCIMBENI , CESAR JULIAN</dc:creator>
  <cp:lastModifiedBy>Usuario</cp:lastModifiedBy>
  <cp:lastPrinted>2020-04-14T12:44:12Z</cp:lastPrinted>
  <dcterms:created xsi:type="dcterms:W3CDTF">2019-06-27T15:41:32Z</dcterms:created>
  <dcterms:modified xsi:type="dcterms:W3CDTF">2020-04-20T13:56:10Z</dcterms:modified>
</cp:coreProperties>
</file>